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C:\Users\paola.portuese\Desktop\Scrivania\Il Bilancio del Comune\legge bil 2026\FCDE\articolo\"/>
    </mc:Choice>
  </mc:AlternateContent>
  <xr:revisionPtr revIDLastSave="0" documentId="8_{52CD1B14-21DC-46AE-B98E-754C3FEB0880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Input" sheetId="1" r:id="rId1"/>
    <sheet name="Metodo A" sheetId="2" r:id="rId2"/>
    <sheet name="Metodo B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" i="4" l="1"/>
  <c r="F8" i="4"/>
  <c r="J40" i="4"/>
  <c r="I40" i="4"/>
  <c r="H40" i="4"/>
  <c r="I39" i="4"/>
  <c r="H39" i="4"/>
  <c r="I38" i="4"/>
  <c r="H38" i="4"/>
  <c r="F40" i="4"/>
  <c r="F39" i="4"/>
  <c r="J40" i="2"/>
  <c r="I40" i="2"/>
  <c r="H40" i="2"/>
  <c r="H39" i="2"/>
  <c r="H38" i="2"/>
  <c r="F40" i="2"/>
  <c r="F39" i="2"/>
  <c r="G8" i="2"/>
  <c r="F8" i="2"/>
  <c r="C41" i="4"/>
  <c r="C39" i="4"/>
  <c r="E8" i="4"/>
  <c r="C38" i="4"/>
  <c r="C40" i="4"/>
  <c r="B27" i="4"/>
  <c r="B26" i="4"/>
  <c r="C41" i="2"/>
  <c r="C40" i="2"/>
  <c r="C39" i="2"/>
  <c r="E8" i="2"/>
  <c r="F38" i="2"/>
  <c r="C38" i="2"/>
  <c r="B26" i="2"/>
  <c r="B27" i="2"/>
  <c r="J43" i="4"/>
  <c r="I43" i="4"/>
  <c r="J42" i="4"/>
  <c r="I42" i="4"/>
  <c r="I41" i="4"/>
  <c r="J41" i="4" s="1"/>
  <c r="F38" i="4"/>
  <c r="D42" i="2"/>
  <c r="G38" i="4"/>
  <c r="G43" i="4"/>
  <c r="G39" i="4"/>
  <c r="G37" i="4"/>
  <c r="B25" i="4"/>
  <c r="E5" i="4" s="1"/>
  <c r="D22" i="4"/>
  <c r="C22" i="4"/>
  <c r="D21" i="4"/>
  <c r="C19" i="4"/>
  <c r="C18" i="4"/>
  <c r="C17" i="4"/>
  <c r="D15" i="4"/>
  <c r="B9" i="4"/>
  <c r="B8" i="4"/>
  <c r="B7" i="4"/>
  <c r="B31" i="4" s="1"/>
  <c r="B6" i="4"/>
  <c r="B30" i="4" s="1"/>
  <c r="G39" i="2"/>
  <c r="G38" i="2"/>
  <c r="G37" i="2"/>
  <c r="F22" i="1"/>
  <c r="D22" i="2" s="1"/>
  <c r="F21" i="1"/>
  <c r="F20" i="1"/>
  <c r="D20" i="2" s="1"/>
  <c r="F19" i="1"/>
  <c r="D19" i="4" s="1"/>
  <c r="F18" i="1"/>
  <c r="D18" i="2" s="1"/>
  <c r="F17" i="1"/>
  <c r="D17" i="2" s="1"/>
  <c r="F16" i="1"/>
  <c r="D16" i="2" s="1"/>
  <c r="F15" i="1"/>
  <c r="E22" i="1"/>
  <c r="E21" i="1"/>
  <c r="C21" i="4" s="1"/>
  <c r="E20" i="1"/>
  <c r="C20" i="2" s="1"/>
  <c r="E19" i="1"/>
  <c r="C19" i="2" s="1"/>
  <c r="E18" i="1"/>
  <c r="C18" i="2" s="1"/>
  <c r="E17" i="1"/>
  <c r="C17" i="2" s="1"/>
  <c r="E16" i="1"/>
  <c r="C16" i="4" s="1"/>
  <c r="E15" i="1"/>
  <c r="C15" i="2" s="1"/>
  <c r="G43" i="2"/>
  <c r="G42" i="2"/>
  <c r="G41" i="2"/>
  <c r="B9" i="2"/>
  <c r="B8" i="2"/>
  <c r="B7" i="2"/>
  <c r="E4" i="2" s="1"/>
  <c r="B6" i="2"/>
  <c r="B30" i="2" s="1"/>
  <c r="B5" i="2"/>
  <c r="B4" i="2"/>
  <c r="C22" i="2"/>
  <c r="D21" i="2"/>
  <c r="C21" i="2"/>
  <c r="D19" i="2"/>
  <c r="D15" i="2"/>
  <c r="D18" i="4" l="1"/>
  <c r="C15" i="4"/>
  <c r="C16" i="2"/>
  <c r="C20" i="4"/>
  <c r="D17" i="4"/>
  <c r="B25" i="2"/>
  <c r="E5" i="2" s="1"/>
  <c r="D20" i="4"/>
  <c r="D16" i="4"/>
  <c r="E4" i="4"/>
  <c r="E38" i="4" s="1"/>
  <c r="B31" i="2"/>
  <c r="E43" i="2"/>
  <c r="E39" i="2"/>
  <c r="E37" i="2"/>
  <c r="E42" i="2"/>
  <c r="E38" i="2"/>
  <c r="J39" i="4" l="1"/>
  <c r="J38" i="4"/>
  <c r="E39" i="4"/>
  <c r="E37" i="4"/>
  <c r="E43" i="4"/>
  <c r="E42" i="4"/>
  <c r="B28" i="4" l="1"/>
  <c r="B32" i="4" s="1"/>
  <c r="E6" i="4" s="1"/>
  <c r="C37" i="4" s="1"/>
  <c r="I38" i="2"/>
  <c r="J38" i="2" s="1"/>
  <c r="I39" i="2"/>
  <c r="J39" i="2" s="1"/>
  <c r="B28" i="2"/>
  <c r="B32" i="2" s="1"/>
  <c r="E6" i="2" s="1"/>
  <c r="D37" i="4" l="1"/>
  <c r="H37" i="4"/>
  <c r="C37" i="2"/>
  <c r="H37" i="2" s="1"/>
  <c r="I37" i="4" l="1"/>
  <c r="J37" i="4" s="1"/>
  <c r="D43" i="2"/>
  <c r="D37" i="2"/>
  <c r="I37" i="2" s="1"/>
  <c r="J37" i="2" s="1"/>
</calcChain>
</file>

<file path=xl/sharedStrings.xml><?xml version="1.0" encoding="utf-8"?>
<sst xmlns="http://schemas.openxmlformats.org/spreadsheetml/2006/main" count="123" uniqueCount="78">
  <si>
    <t>Esempio applicativo - Nuovo par. 3.3-bis All. 4/2 (Metodo accelerato FCDE)</t>
  </si>
  <si>
    <t>Parametri (celle gialle modificabili)</t>
  </si>
  <si>
    <t>Anno rendiconto che accerta il miglioramento (X)</t>
  </si>
  <si>
    <t>Metodo di calcolo capacità di riscossione usato dall'ente</t>
  </si>
  <si>
    <t>A - solo incassi competenza</t>
  </si>
  <si>
    <t>Progetto triennale di accelerazione formalmente attivato?</t>
  </si>
  <si>
    <t>SI</t>
  </si>
  <si>
    <t>BP 2027-2029</t>
  </si>
  <si>
    <t>Rendiconto 2027 conferma miglioramento? (serve per BP 2029-2031)</t>
  </si>
  <si>
    <t>Rendiconto 2028 conferma miglioramento? (serve per BP 2030-2032)</t>
  </si>
  <si>
    <t>Dati di rendiconto per una singola tipologia di entrata (esempio)</t>
  </si>
  <si>
    <t>Esercizio</t>
  </si>
  <si>
    <t>Accertamenti (A)</t>
  </si>
  <si>
    <t>Incassi c/competenza (I)</t>
  </si>
  <si>
    <t>Incassi anno+1 c/residui anno (R)</t>
  </si>
  <si>
    <t>Capacità A: I/A</t>
  </si>
  <si>
    <t>Capacità B: (I+R_next)/A</t>
  </si>
  <si>
    <t>Note</t>
  </si>
  <si>
    <t>Accertamenti previsione (BP)</t>
  </si>
  <si>
    <t>Calcoli automatici (metodo accelerato e verifiche ammissibilità)</t>
  </si>
  <si>
    <t>Parametri (da Input)</t>
  </si>
  <si>
    <t>Anno X (rendiconto miglioramento)</t>
  </si>
  <si>
    <t>Anno prima applicazione (BP)</t>
  </si>
  <si>
    <t>Metodo capacità selezionato</t>
  </si>
  <si>
    <t>Anno base capacità (Y)</t>
  </si>
  <si>
    <t>Progetto triennale attivato?</t>
  </si>
  <si>
    <t>Applicabile accelerato?</t>
  </si>
  <si>
    <t>Prima applicazione</t>
  </si>
  <si>
    <t>Conferma miglioramento (rendiconto 2027)?</t>
  </si>
  <si>
    <t>Conferma miglioramento (rendiconto 2028)?</t>
  </si>
  <si>
    <t>Tabelle di supporto</t>
  </si>
  <si>
    <t>Capacità selezionata</t>
  </si>
  <si>
    <t>Capacità A</t>
  </si>
  <si>
    <t>Capacità B</t>
  </si>
  <si>
    <t>Anno da confrontare (Y) secondo metodo</t>
  </si>
  <si>
    <t>Miglioramento verificato? (Y &gt; media triennio)</t>
  </si>
  <si>
    <t>Progetto triennale attivato? (condizione 2)</t>
  </si>
  <si>
    <t>Prima applicazione ammessa? (finestre 2026-2029)</t>
  </si>
  <si>
    <t>Esito: applicabile metodo accelerato?</t>
  </si>
  <si>
    <t>Determinazione % FCDE - Metodo accelerato (output)</t>
  </si>
  <si>
    <t>Bilancio di previsione</t>
  </si>
  <si>
    <t>Anno BP</t>
  </si>
  <si>
    <t>% FCDE accelerato</t>
  </si>
  <si>
    <t>Base calcolo (capacità/medie)</t>
  </si>
  <si>
    <t>% FCDE ordinario (5 anni)</t>
  </si>
  <si>
    <t>Accertamenti previsione</t>
  </si>
  <si>
    <t>BP 2026-2028</t>
  </si>
  <si>
    <t>BP 2028-2030</t>
  </si>
  <si>
    <t>BP 2029-2031</t>
  </si>
  <si>
    <t>BP 2030-2032</t>
  </si>
  <si>
    <t>BP 2031-2033</t>
  </si>
  <si>
    <t>BP 2032-2034</t>
  </si>
  <si>
    <t>% FCDE ordinario (base 5 anni: 2021/2022/2023/2024/2025)</t>
  </si>
  <si>
    <t>Media triennio di riferimento (2023/2024/2025)</t>
  </si>
  <si>
    <t>Capacità anno 2027</t>
  </si>
  <si>
    <t>Anno X  (rendiconto miglioramento)</t>
  </si>
  <si>
    <t>Media triennio di riferimento (2022/2023/2024)</t>
  </si>
  <si>
    <t>Verifica miglioramento capacità di riscossione (Metodo B)</t>
  </si>
  <si>
    <t>Verifica miglioramento capacità di riscossione (Metodo A)</t>
  </si>
  <si>
    <t>B - incassi in c/competenza es. 2024 + incassi es. 2024 in c/residui es. 2025</t>
  </si>
  <si>
    <t>1 - media capacità 2025-2026</t>
  </si>
  <si>
    <t>1- capacità 2025</t>
  </si>
  <si>
    <t>1 - media capacità 2024-2025</t>
  </si>
  <si>
    <t>1 - media capacità 2025-2027</t>
  </si>
  <si>
    <t>1 - media capacità 2025-2028</t>
  </si>
  <si>
    <t>1- media capacità 2024-2026</t>
  </si>
  <si>
    <t>1- media capacità 2024-2027</t>
  </si>
  <si>
    <t>B  - incassi competenza + incassi a residui</t>
  </si>
  <si>
    <t>Differenza B-A</t>
  </si>
  <si>
    <t>FCDE € (ordinario)     B</t>
  </si>
  <si>
    <t>FCDE € (accelerato)       A</t>
  </si>
  <si>
    <t>1 - capacità 2024</t>
  </si>
  <si>
    <t>FCDE € (accelerato)     A</t>
  </si>
  <si>
    <t>Anno da confrontare (Y) primo metodo</t>
  </si>
  <si>
    <t xml:space="preserve">Prima applicazione metodo accelerato </t>
  </si>
  <si>
    <t>2028                  (base 2022/2026)</t>
  </si>
  <si>
    <t>2029                  (base 2023/2027)</t>
  </si>
  <si>
    <t>2028                                           (base 2022/2026)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</si>
</sst>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4" x14ac:knownFonts="1">
    <font>
      <sz val="11"/>
      <color theme="1"/>
      <name val="Calibri"/>
      <family val="2"/>
      <scheme val="minor"/>
    </font>
    <font>
      <b/>
      <sz val="14"/>
      <name val="Calibri"/>
    </font>
    <font>
      <b/>
      <sz val="11"/>
      <name val="Calibri"/>
    </font>
    <font>
      <sz val="11"/>
      <name val="Calibri"/>
    </font>
    <font>
      <sz val="11"/>
      <color rgb="FF0000FF"/>
      <name val="Calibri"/>
    </font>
    <font>
      <sz val="11"/>
      <color rgb="FF000000"/>
      <name val="Calibri"/>
    </font>
    <font>
      <sz val="11"/>
      <color rgb="FF008000"/>
      <name val="Calibri"/>
    </font>
    <font>
      <b/>
      <sz val="11"/>
      <color rgb="FF006100"/>
      <name val="Calibri"/>
    </font>
    <font>
      <b/>
      <sz val="11"/>
      <color theme="1"/>
      <name val="Calibri"/>
      <family val="2"/>
      <scheme val="minor"/>
    </font>
    <font>
      <b/>
      <sz val="11"/>
      <color rgb="FF008000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11"/>
      <color rgb="FF0000FF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FFFFFF"/>
      </patternFill>
    </fill>
    <fill>
      <patternFill patternType="solid">
        <fgColor rgb="FFF2F2F2"/>
      </patternFill>
    </fill>
    <fill>
      <patternFill patternType="solid">
        <fgColor rgb="FF66FF3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/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3" fillId="3" borderId="1" xfId="0" applyFont="1" applyFill="1" applyBorder="1" applyAlignment="1">
      <alignment horizontal="left" vertical="center" wrapText="1"/>
    </xf>
    <xf numFmtId="1" fontId="4" fillId="2" borderId="1" xfId="0" applyNumberFormat="1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3" fontId="4" fillId="2" borderId="1" xfId="0" applyNumberFormat="1" applyFont="1" applyFill="1" applyBorder="1" applyAlignment="1">
      <alignment horizontal="left" vertical="center" wrapText="1"/>
    </xf>
    <xf numFmtId="10" fontId="5" fillId="0" borderId="1" xfId="0" applyNumberFormat="1" applyFont="1" applyBorder="1" applyAlignment="1">
      <alignment horizontal="right" vertical="center" wrapText="1"/>
    </xf>
    <xf numFmtId="0" fontId="0" fillId="0" borderId="1" xfId="0" applyBorder="1" applyAlignment="1">
      <alignment horizontal="left" vertical="center" wrapText="1"/>
    </xf>
    <xf numFmtId="3" fontId="4" fillId="2" borderId="1" xfId="0" applyNumberFormat="1" applyFont="1" applyFill="1" applyBorder="1" applyAlignment="1">
      <alignment horizontal="right" vertical="center" wrapText="1"/>
    </xf>
    <xf numFmtId="0" fontId="6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0" fontId="0" fillId="0" borderId="1" xfId="0" applyNumberFormat="1" applyBorder="1" applyAlignment="1">
      <alignment horizontal="right" vertical="center" wrapText="1"/>
    </xf>
    <xf numFmtId="10" fontId="6" fillId="0" borderId="1" xfId="0" applyNumberFormat="1" applyFont="1" applyBorder="1" applyAlignment="1">
      <alignment horizontal="right" vertical="center" wrapText="1"/>
    </xf>
    <xf numFmtId="3" fontId="6" fillId="0" borderId="1" xfId="0" applyNumberFormat="1" applyFont="1" applyBorder="1" applyAlignment="1">
      <alignment horizontal="right" vertical="center" wrapText="1"/>
    </xf>
    <xf numFmtId="3" fontId="0" fillId="0" borderId="1" xfId="0" applyNumberFormat="1" applyBorder="1" applyAlignment="1">
      <alignment horizontal="right" vertical="center" wrapText="1"/>
    </xf>
    <xf numFmtId="2" fontId="0" fillId="0" borderId="0" xfId="0" applyNumberFormat="1"/>
    <xf numFmtId="164" fontId="0" fillId="0" borderId="1" xfId="0" applyNumberFormat="1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3" fontId="4" fillId="5" borderId="1" xfId="0" applyNumberFormat="1" applyFont="1" applyFill="1" applyBorder="1" applyAlignment="1">
      <alignment horizontal="left" vertical="center" wrapText="1"/>
    </xf>
    <xf numFmtId="10" fontId="5" fillId="5" borderId="1" xfId="0" applyNumberFormat="1" applyFont="1" applyFill="1" applyBorder="1" applyAlignment="1">
      <alignment horizontal="right" vertical="center" wrapText="1"/>
    </xf>
    <xf numFmtId="164" fontId="0" fillId="5" borderId="1" xfId="0" applyNumberFormat="1" applyFill="1" applyBorder="1" applyAlignment="1">
      <alignment horizontal="left" vertical="center" wrapText="1"/>
    </xf>
    <xf numFmtId="3" fontId="4" fillId="5" borderId="1" xfId="0" applyNumberFormat="1" applyFont="1" applyFill="1" applyBorder="1" applyAlignment="1">
      <alignment horizontal="right" vertical="center" wrapText="1"/>
    </xf>
    <xf numFmtId="0" fontId="0" fillId="0" borderId="0" xfId="0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0" xfId="0" applyFont="1"/>
    <xf numFmtId="0" fontId="0" fillId="0" borderId="0" xfId="0"/>
    <xf numFmtId="0" fontId="1" fillId="0" borderId="0" xfId="0" applyFont="1" applyAlignment="1">
      <alignment horizontal="left" vertical="center" wrapText="1"/>
    </xf>
    <xf numFmtId="0" fontId="9" fillId="6" borderId="1" xfId="0" applyFont="1" applyFill="1" applyBorder="1" applyAlignment="1">
      <alignment horizontal="left" vertical="center" wrapText="1"/>
    </xf>
    <xf numFmtId="0" fontId="8" fillId="6" borderId="1" xfId="0" applyFont="1" applyFill="1" applyBorder="1" applyAlignment="1">
      <alignment horizontal="left" vertical="center" wrapText="1"/>
    </xf>
    <xf numFmtId="10" fontId="5" fillId="0" borderId="1" xfId="0" applyNumberFormat="1" applyFont="1" applyBorder="1" applyAlignment="1">
      <alignment horizontal="center" vertical="center" wrapText="1"/>
    </xf>
    <xf numFmtId="10" fontId="0" fillId="0" borderId="1" xfId="0" applyNumberFormat="1" applyBorder="1" applyAlignment="1">
      <alignment horizontal="center"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center" vertical="center" wrapText="1"/>
    </xf>
    <xf numFmtId="10" fontId="0" fillId="0" borderId="0" xfId="0" applyNumberFormat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10" fontId="6" fillId="5" borderId="1" xfId="0" applyNumberFormat="1" applyFont="1" applyFill="1" applyBorder="1" applyAlignment="1">
      <alignment horizontal="right" vertical="center" wrapText="1"/>
    </xf>
    <xf numFmtId="0" fontId="0" fillId="5" borderId="1" xfId="0" applyFill="1" applyBorder="1" applyAlignment="1">
      <alignment horizontal="left" vertical="center" wrapText="1"/>
    </xf>
    <xf numFmtId="10" fontId="0" fillId="5" borderId="1" xfId="0" applyNumberFormat="1" applyFill="1" applyBorder="1" applyAlignment="1">
      <alignment horizontal="right" vertical="center" wrapText="1"/>
    </xf>
    <xf numFmtId="3" fontId="6" fillId="5" borderId="1" xfId="0" applyNumberFormat="1" applyFont="1" applyFill="1" applyBorder="1" applyAlignment="1">
      <alignment horizontal="right" vertical="center" wrapText="1"/>
    </xf>
    <xf numFmtId="3" fontId="0" fillId="5" borderId="1" xfId="0" applyNumberFormat="1" applyFill="1" applyBorder="1" applyAlignment="1">
      <alignment horizontal="right" vertical="center" wrapText="1"/>
    </xf>
    <xf numFmtId="0" fontId="11" fillId="3" borderId="1" xfId="0" applyFont="1" applyFill="1" applyBorder="1" applyAlignment="1">
      <alignment horizontal="left" vertical="center" wrapText="1"/>
    </xf>
    <xf numFmtId="3" fontId="12" fillId="5" borderId="1" xfId="0" applyNumberFormat="1" applyFont="1" applyFill="1" applyBorder="1" applyAlignment="1">
      <alignment horizontal="right" vertical="center" wrapText="1"/>
    </xf>
    <xf numFmtId="3" fontId="12" fillId="0" borderId="1" xfId="0" applyNumberFormat="1" applyFont="1" applyBorder="1" applyAlignment="1">
      <alignment horizontal="right" vertical="center" wrapText="1"/>
    </xf>
    <xf numFmtId="3" fontId="13" fillId="0" borderId="1" xfId="0" applyNumberFormat="1" applyFont="1" applyBorder="1" applyAlignment="1">
      <alignment horizontal="right" vertical="center" wrapText="1"/>
    </xf>
    <xf numFmtId="0" fontId="2" fillId="0" borderId="3" xfId="0" applyFont="1" applyBorder="1" applyAlignment="1">
      <alignment horizontal="center" vertical="center" wrapText="1"/>
    </xf>
    <xf numFmtId="10" fontId="0" fillId="0" borderId="4" xfId="0" applyNumberFormat="1" applyBorder="1" applyAlignment="1">
      <alignment horizontal="center" vertical="center" wrapText="1"/>
    </xf>
    <xf numFmtId="0" fontId="8" fillId="7" borderId="2" xfId="0" applyFont="1" applyFill="1" applyBorder="1" applyAlignment="1">
      <alignment horizontal="center" wrapText="1"/>
    </xf>
    <xf numFmtId="0" fontId="8" fillId="7" borderId="2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  <colors>
    <mruColors>
      <color rgb="FF0000FF"/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</xdr:row>
      <xdr:rowOff>0</xdr:rowOff>
    </xdr:from>
    <xdr:to>
      <xdr:col>20</xdr:col>
      <xdr:colOff>96199</xdr:colOff>
      <xdr:row>16</xdr:row>
      <xdr:rowOff>181479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C91C715F-9022-1753-17DD-0404FF76C7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411200" y="381000"/>
          <a:ext cx="6801799" cy="361047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2</xdr:col>
      <xdr:colOff>115228</xdr:colOff>
      <xdr:row>28</xdr:row>
      <xdr:rowOff>114449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7CD625C8-559A-586B-6830-6F0D9CBB8C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143500"/>
          <a:ext cx="6649378" cy="10669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2</xdr:col>
      <xdr:colOff>229544</xdr:colOff>
      <xdr:row>35</xdr:row>
      <xdr:rowOff>38265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9D1B7E1F-1563-FD0C-F8C0-15FD18497A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6286500"/>
          <a:ext cx="6763694" cy="118126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2</xdr:col>
      <xdr:colOff>258123</xdr:colOff>
      <xdr:row>43</xdr:row>
      <xdr:rowOff>57344</xdr:rowOff>
    </xdr:to>
    <xdr:pic>
      <xdr:nvPicPr>
        <xdr:cNvPr id="5" name="Immagine 4">
          <a:extLst>
            <a:ext uri="{FF2B5EF4-FFF2-40B4-BE49-F238E27FC236}">
              <a16:creationId xmlns:a16="http://schemas.microsoft.com/office/drawing/2014/main" id="{5F13546D-F132-6E55-A750-5AF4302C78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7620000"/>
          <a:ext cx="6792273" cy="139084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44</xdr:row>
      <xdr:rowOff>0</xdr:rowOff>
    </xdr:from>
    <xdr:to>
      <xdr:col>2</xdr:col>
      <xdr:colOff>200965</xdr:colOff>
      <xdr:row>46</xdr:row>
      <xdr:rowOff>104843</xdr:rowOff>
    </xdr:to>
    <xdr:pic>
      <xdr:nvPicPr>
        <xdr:cNvPr id="6" name="Immagine 5">
          <a:extLst>
            <a:ext uri="{FF2B5EF4-FFF2-40B4-BE49-F238E27FC236}">
              <a16:creationId xmlns:a16="http://schemas.microsoft.com/office/drawing/2014/main" id="{448758B4-F043-D0CA-46D4-A688C35B2F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9144000"/>
          <a:ext cx="6735115" cy="48584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24</xdr:row>
      <xdr:rowOff>0</xdr:rowOff>
    </xdr:from>
    <xdr:to>
      <xdr:col>8</xdr:col>
      <xdr:colOff>829638</xdr:colOff>
      <xdr:row>28</xdr:row>
      <xdr:rowOff>95503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B0A76838-1521-A78D-CA6D-A0ED2A17CD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81400" y="6467475"/>
          <a:ext cx="6897063" cy="181000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24</xdr:row>
      <xdr:rowOff>0</xdr:rowOff>
    </xdr:from>
    <xdr:to>
      <xdr:col>9</xdr:col>
      <xdr:colOff>448615</xdr:colOff>
      <xdr:row>27</xdr:row>
      <xdr:rowOff>85896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C8987B18-FB76-4606-D18B-0F6CCF461E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81400" y="7229475"/>
          <a:ext cx="6735115" cy="12288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5"/>
  <sheetViews>
    <sheetView showGridLines="0" topLeftCell="A11" workbookViewId="0">
      <selection activeCell="H20" sqref="H20"/>
    </sheetView>
  </sheetViews>
  <sheetFormatPr defaultRowHeight="15" x14ac:dyDescent="0.25"/>
  <cols>
    <col min="1" max="1" width="58" customWidth="1"/>
    <col min="2" max="2" width="40" customWidth="1"/>
    <col min="3" max="3" width="14" customWidth="1"/>
    <col min="4" max="8" width="16" customWidth="1"/>
  </cols>
  <sheetData>
    <row r="1" spans="1:8" x14ac:dyDescent="0.25">
      <c r="A1" s="29" t="s">
        <v>0</v>
      </c>
      <c r="B1" s="28"/>
      <c r="C1" s="28"/>
      <c r="D1" s="28"/>
      <c r="E1" s="28"/>
      <c r="F1" s="28"/>
      <c r="G1" s="28"/>
      <c r="H1" s="28"/>
    </row>
    <row r="3" spans="1:8" x14ac:dyDescent="0.25">
      <c r="A3" s="27" t="s">
        <v>1</v>
      </c>
      <c r="B3" s="28"/>
      <c r="C3" s="28"/>
      <c r="D3" s="28"/>
    </row>
    <row r="4" spans="1:8" x14ac:dyDescent="0.25">
      <c r="A4" s="1" t="s">
        <v>2</v>
      </c>
      <c r="B4" s="2">
        <v>2025</v>
      </c>
    </row>
    <row r="5" spans="1:8" x14ac:dyDescent="0.25">
      <c r="A5" s="1" t="s">
        <v>3</v>
      </c>
      <c r="B5" s="3" t="s">
        <v>4</v>
      </c>
    </row>
    <row r="6" spans="1:8" x14ac:dyDescent="0.25">
      <c r="A6" s="1" t="s">
        <v>3</v>
      </c>
      <c r="B6" s="3" t="s">
        <v>67</v>
      </c>
    </row>
    <row r="7" spans="1:8" x14ac:dyDescent="0.25">
      <c r="A7" s="1" t="s">
        <v>5</v>
      </c>
      <c r="B7" s="3" t="s">
        <v>6</v>
      </c>
    </row>
    <row r="8" spans="1:8" x14ac:dyDescent="0.25">
      <c r="A8" s="43" t="s">
        <v>74</v>
      </c>
      <c r="B8" s="34" t="s">
        <v>7</v>
      </c>
    </row>
    <row r="9" spans="1:8" ht="30" x14ac:dyDescent="0.25">
      <c r="A9" s="1" t="s">
        <v>8</v>
      </c>
      <c r="B9" s="3" t="s">
        <v>6</v>
      </c>
    </row>
    <row r="10" spans="1:8" ht="30" x14ac:dyDescent="0.25">
      <c r="A10" s="1" t="s">
        <v>9</v>
      </c>
      <c r="B10" s="3" t="s">
        <v>6</v>
      </c>
    </row>
    <row r="12" spans="1:8" x14ac:dyDescent="0.25">
      <c r="A12" s="27" t="s">
        <v>10</v>
      </c>
      <c r="B12" s="28"/>
      <c r="C12" s="28"/>
      <c r="D12" s="28"/>
      <c r="E12" s="28"/>
      <c r="F12" s="28"/>
      <c r="G12" s="28"/>
      <c r="H12" s="28"/>
    </row>
    <row r="14" spans="1:8" ht="45" x14ac:dyDescent="0.25">
      <c r="A14" s="4" t="s">
        <v>11</v>
      </c>
      <c r="B14" s="4" t="s">
        <v>12</v>
      </c>
      <c r="C14" s="4" t="s">
        <v>13</v>
      </c>
      <c r="D14" s="4" t="s">
        <v>14</v>
      </c>
      <c r="E14" s="4" t="s">
        <v>15</v>
      </c>
      <c r="F14" s="4" t="s">
        <v>16</v>
      </c>
      <c r="G14" s="4" t="s">
        <v>17</v>
      </c>
      <c r="H14" s="4" t="s">
        <v>18</v>
      </c>
    </row>
    <row r="15" spans="1:8" x14ac:dyDescent="0.25">
      <c r="A15" s="5">
        <v>2021</v>
      </c>
      <c r="B15" s="6">
        <v>950000</v>
      </c>
      <c r="C15" s="6">
        <v>618000</v>
      </c>
      <c r="D15" s="6">
        <v>45000</v>
      </c>
      <c r="E15" s="7">
        <f>C15/B15</f>
        <v>0.65052631578947373</v>
      </c>
      <c r="F15" s="7">
        <f>(C15+D15)/B15</f>
        <v>0.69789473684210523</v>
      </c>
      <c r="G15" s="8"/>
      <c r="H15" s="9"/>
    </row>
    <row r="16" spans="1:8" x14ac:dyDescent="0.25">
      <c r="A16" s="5">
        <v>2022</v>
      </c>
      <c r="B16" s="6">
        <v>980000</v>
      </c>
      <c r="C16" s="6">
        <v>647000</v>
      </c>
      <c r="D16" s="6">
        <v>42000</v>
      </c>
      <c r="E16" s="7">
        <f t="shared" ref="E16:E22" si="0">C16/B16</f>
        <v>0.66020408163265309</v>
      </c>
      <c r="F16" s="7">
        <f t="shared" ref="F16:F22" si="1">(C16+D16)/B16</f>
        <v>0.70306122448979591</v>
      </c>
      <c r="G16" s="19"/>
      <c r="H16" s="9"/>
    </row>
    <row r="17" spans="1:8" x14ac:dyDescent="0.25">
      <c r="A17" s="5">
        <v>2023</v>
      </c>
      <c r="B17" s="6">
        <v>1000000</v>
      </c>
      <c r="C17" s="6">
        <v>650000</v>
      </c>
      <c r="D17" s="6">
        <v>40000</v>
      </c>
      <c r="E17" s="7">
        <f t="shared" si="0"/>
        <v>0.65</v>
      </c>
      <c r="F17" s="7">
        <f t="shared" si="1"/>
        <v>0.69</v>
      </c>
      <c r="G17" s="19"/>
      <c r="H17" s="9"/>
    </row>
    <row r="18" spans="1:8" x14ac:dyDescent="0.25">
      <c r="A18" s="5">
        <v>2024</v>
      </c>
      <c r="B18" s="6">
        <v>1050000</v>
      </c>
      <c r="C18" s="6">
        <v>735000</v>
      </c>
      <c r="D18" s="6">
        <v>40000</v>
      </c>
      <c r="E18" s="7">
        <f t="shared" si="0"/>
        <v>0.7</v>
      </c>
      <c r="F18" s="7">
        <f t="shared" si="1"/>
        <v>0.73809523809523814</v>
      </c>
      <c r="G18" s="19"/>
      <c r="H18" s="9"/>
    </row>
    <row r="19" spans="1:8" x14ac:dyDescent="0.25">
      <c r="A19" s="20">
        <v>2025</v>
      </c>
      <c r="B19" s="21">
        <v>1100000</v>
      </c>
      <c r="C19" s="21">
        <v>935000</v>
      </c>
      <c r="D19" s="21">
        <v>30000</v>
      </c>
      <c r="E19" s="22">
        <f t="shared" si="0"/>
        <v>0.85</v>
      </c>
      <c r="F19" s="22">
        <f t="shared" si="1"/>
        <v>0.87727272727272732</v>
      </c>
      <c r="G19" s="23"/>
      <c r="H19" s="24"/>
    </row>
    <row r="20" spans="1:8" x14ac:dyDescent="0.25">
      <c r="A20" s="5">
        <v>2026</v>
      </c>
      <c r="B20" s="6">
        <v>1120000</v>
      </c>
      <c r="C20" s="6">
        <v>952000</v>
      </c>
      <c r="D20" s="6">
        <v>25000</v>
      </c>
      <c r="E20" s="7">
        <f t="shared" si="0"/>
        <v>0.85</v>
      </c>
      <c r="F20" s="7">
        <f t="shared" si="1"/>
        <v>0.87232142857142858</v>
      </c>
      <c r="G20" s="19"/>
      <c r="H20" s="9">
        <v>1130000</v>
      </c>
    </row>
    <row r="21" spans="1:8" x14ac:dyDescent="0.25">
      <c r="A21" s="5">
        <v>2027</v>
      </c>
      <c r="B21" s="6">
        <v>1150000</v>
      </c>
      <c r="C21" s="6">
        <v>990000</v>
      </c>
      <c r="D21" s="6">
        <v>20000</v>
      </c>
      <c r="E21" s="7">
        <f t="shared" si="0"/>
        <v>0.86086956521739133</v>
      </c>
      <c r="F21" s="7">
        <f t="shared" si="1"/>
        <v>0.87826086956521743</v>
      </c>
      <c r="G21" s="19"/>
      <c r="H21" s="9">
        <v>1160000</v>
      </c>
    </row>
    <row r="22" spans="1:8" x14ac:dyDescent="0.25">
      <c r="A22" s="5">
        <v>2028</v>
      </c>
      <c r="B22" s="6">
        <v>1180000</v>
      </c>
      <c r="C22" s="6">
        <v>1030000</v>
      </c>
      <c r="D22" s="6">
        <v>0</v>
      </c>
      <c r="E22" s="7">
        <f t="shared" si="0"/>
        <v>0.8728813559322034</v>
      </c>
      <c r="F22" s="7">
        <f t="shared" si="1"/>
        <v>0.8728813559322034</v>
      </c>
      <c r="G22" s="19"/>
      <c r="H22" s="9">
        <v>1190000</v>
      </c>
    </row>
    <row r="25" spans="1:8" x14ac:dyDescent="0.25">
      <c r="E25" s="18"/>
    </row>
  </sheetData>
  <mergeCells count="3">
    <mergeCell ref="A12:H12"/>
    <mergeCell ref="A3:D3"/>
    <mergeCell ref="A1:H1"/>
  </mergeCells>
  <dataValidations count="3">
    <dataValidation type="list" sqref="B5:B6" xr:uid="{00000000-0002-0000-0000-000000000000}">
      <formula1>"A - solo incassi competenza,B - incassi competenza + incassi anno+1 su residui anno"</formula1>
    </dataValidation>
    <dataValidation type="list" sqref="B7 B9:B10" xr:uid="{00000000-0002-0000-0000-000001000000}">
      <formula1>"SI,NO"</formula1>
    </dataValidation>
    <dataValidation type="list" sqref="B8" xr:uid="{00000000-0002-0000-0000-000002000000}">
      <formula1>"Assestamento BP 2026-2028,BP 2027-2029,BP 2028-2030,BP 2029-2031"</formula1>
    </dataValidation>
  </dataValidations>
  <pageMargins left="0.75" right="0.75" top="1" bottom="1" header="0.5" footer="0.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3"/>
  <sheetViews>
    <sheetView showGridLines="0" topLeftCell="A25" workbookViewId="0">
      <selection activeCell="G14" sqref="G14"/>
    </sheetView>
  </sheetViews>
  <sheetFormatPr defaultRowHeight="15" x14ac:dyDescent="0.25"/>
  <cols>
    <col min="1" max="1" width="22" customWidth="1"/>
    <col min="2" max="2" width="15.7109375" customWidth="1"/>
    <col min="3" max="3" width="16" customWidth="1"/>
    <col min="4" max="4" width="34" customWidth="1"/>
    <col min="5" max="5" width="12" customWidth="1"/>
    <col min="6" max="6" width="16.140625" customWidth="1"/>
    <col min="7" max="7" width="15.7109375" customWidth="1"/>
    <col min="8" max="9" width="13.140625" customWidth="1"/>
    <col min="10" max="10" width="11" customWidth="1"/>
  </cols>
  <sheetData>
    <row r="1" spans="1:8" x14ac:dyDescent="0.25">
      <c r="A1" s="29" t="s">
        <v>19</v>
      </c>
      <c r="B1" s="28"/>
      <c r="C1" s="28"/>
      <c r="D1" s="28"/>
      <c r="E1" s="28"/>
      <c r="F1" s="28"/>
      <c r="G1" s="28"/>
      <c r="H1" s="28"/>
    </row>
    <row r="3" spans="1:8" x14ac:dyDescent="0.25">
      <c r="A3" s="27" t="s">
        <v>20</v>
      </c>
      <c r="B3" s="28"/>
      <c r="C3" s="28"/>
      <c r="D3" s="28"/>
    </row>
    <row r="4" spans="1:8" ht="30" x14ac:dyDescent="0.25">
      <c r="A4" s="8" t="s">
        <v>21</v>
      </c>
      <c r="B4" s="10">
        <f>Input!B4</f>
        <v>2025</v>
      </c>
      <c r="D4" s="11" t="s">
        <v>22</v>
      </c>
      <c r="E4" s="12">
        <f>IF($B$7="Assestamento BP 2026-2028",2026,IF($B$7="BP 2027-2029",2027,IF($B$7="BP 2028-2030",2028,IF($B$7="BP 2029-2031",2029,""))))</f>
        <v>2027</v>
      </c>
    </row>
    <row r="5" spans="1:8" ht="30" x14ac:dyDescent="0.25">
      <c r="A5" s="8" t="s">
        <v>23</v>
      </c>
      <c r="B5" s="30" t="str">
        <f>Input!B5</f>
        <v>A - solo incassi competenza</v>
      </c>
      <c r="D5" s="11" t="s">
        <v>24</v>
      </c>
      <c r="E5" s="12">
        <f>B25</f>
        <v>2025</v>
      </c>
    </row>
    <row r="6" spans="1:8" ht="30" x14ac:dyDescent="0.25">
      <c r="A6" s="8" t="s">
        <v>25</v>
      </c>
      <c r="B6" s="10" t="str">
        <f>Input!B7</f>
        <v>SI</v>
      </c>
      <c r="D6" s="11" t="s">
        <v>26</v>
      </c>
      <c r="E6" s="47" t="str">
        <f>B32</f>
        <v>SI</v>
      </c>
    </row>
    <row r="7" spans="1:8" ht="32.25" customHeight="1" x14ac:dyDescent="0.25">
      <c r="A7" s="8" t="s">
        <v>27</v>
      </c>
      <c r="B7" s="10" t="str">
        <f>Input!B8</f>
        <v>BP 2027-2029</v>
      </c>
      <c r="E7" s="50">
        <v>2027</v>
      </c>
      <c r="F7" s="49" t="s">
        <v>75</v>
      </c>
      <c r="G7" s="49" t="s">
        <v>76</v>
      </c>
    </row>
    <row r="8" spans="1:8" ht="74.25" customHeight="1" x14ac:dyDescent="0.25">
      <c r="A8" s="8" t="s">
        <v>28</v>
      </c>
      <c r="B8" s="10" t="str">
        <f>Input!B9</f>
        <v>SI</v>
      </c>
      <c r="D8" s="11" t="s">
        <v>52</v>
      </c>
      <c r="E8" s="48">
        <f>1-(B15+B16+B17+B18+B19)/5</f>
        <v>0.29785392051557469</v>
      </c>
      <c r="F8" s="48">
        <f>1-(B16+B17+B18+B19+B20)/5</f>
        <v>0.25795918367346926</v>
      </c>
      <c r="G8" s="48">
        <f>1-(B17+B18+B19+B20+B21)/5</f>
        <v>0.21782608695652173</v>
      </c>
      <c r="H8" s="36"/>
    </row>
    <row r="9" spans="1:8" ht="45" x14ac:dyDescent="0.25">
      <c r="A9" s="8" t="s">
        <v>29</v>
      </c>
      <c r="B9" s="10" t="str">
        <f>Input!B10</f>
        <v>SI</v>
      </c>
    </row>
    <row r="12" spans="1:8" x14ac:dyDescent="0.25">
      <c r="A12" s="27" t="s">
        <v>30</v>
      </c>
      <c r="B12" s="28"/>
      <c r="C12" s="28"/>
      <c r="D12" s="28"/>
    </row>
    <row r="14" spans="1:8" ht="30" x14ac:dyDescent="0.25">
      <c r="A14" s="4" t="s">
        <v>11</v>
      </c>
      <c r="B14" s="4" t="s">
        <v>31</v>
      </c>
      <c r="C14" s="4" t="s">
        <v>32</v>
      </c>
      <c r="D14" s="4" t="s">
        <v>33</v>
      </c>
    </row>
    <row r="15" spans="1:8" x14ac:dyDescent="0.25">
      <c r="A15" s="5">
        <v>2021</v>
      </c>
      <c r="B15" s="7">
        <v>0.65052631578947373</v>
      </c>
      <c r="C15" s="15">
        <f>Input!E15</f>
        <v>0.65052631578947373</v>
      </c>
      <c r="D15" s="15">
        <f>Input!F15</f>
        <v>0.69789473684210523</v>
      </c>
    </row>
    <row r="16" spans="1:8" x14ac:dyDescent="0.25">
      <c r="A16" s="5">
        <v>2022</v>
      </c>
      <c r="B16" s="7">
        <v>0.66020408163265309</v>
      </c>
      <c r="C16" s="15">
        <f>Input!E16</f>
        <v>0.66020408163265309</v>
      </c>
      <c r="D16" s="15">
        <f>Input!F16</f>
        <v>0.70306122448979591</v>
      </c>
    </row>
    <row r="17" spans="1:4" x14ac:dyDescent="0.25">
      <c r="A17" s="5">
        <v>2023</v>
      </c>
      <c r="B17" s="7">
        <v>0.65</v>
      </c>
      <c r="C17" s="15">
        <f>Input!E17</f>
        <v>0.65</v>
      </c>
      <c r="D17" s="15">
        <f>Input!F17</f>
        <v>0.69</v>
      </c>
    </row>
    <row r="18" spans="1:4" x14ac:dyDescent="0.25">
      <c r="A18" s="5">
        <v>2024</v>
      </c>
      <c r="B18" s="7">
        <v>0.7</v>
      </c>
      <c r="C18" s="15">
        <f>Input!E18</f>
        <v>0.7</v>
      </c>
      <c r="D18" s="15">
        <f>Input!F18</f>
        <v>0.73809523809523814</v>
      </c>
    </row>
    <row r="19" spans="1:4" x14ac:dyDescent="0.25">
      <c r="A19" s="20">
        <v>2025</v>
      </c>
      <c r="B19" s="22">
        <v>0.85</v>
      </c>
      <c r="C19" s="38">
        <f>Input!E19</f>
        <v>0.85</v>
      </c>
      <c r="D19" s="38">
        <f>Input!F19</f>
        <v>0.87727272727272732</v>
      </c>
    </row>
    <row r="20" spans="1:4" x14ac:dyDescent="0.25">
      <c r="A20" s="5">
        <v>2026</v>
      </c>
      <c r="B20" s="7">
        <v>0.85</v>
      </c>
      <c r="C20" s="15">
        <f>Input!E20</f>
        <v>0.85</v>
      </c>
      <c r="D20" s="15">
        <f>Input!F20</f>
        <v>0.87232142857142858</v>
      </c>
    </row>
    <row r="21" spans="1:4" x14ac:dyDescent="0.25">
      <c r="A21" s="5">
        <v>2027</v>
      </c>
      <c r="B21" s="7">
        <v>0.86086956521739133</v>
      </c>
      <c r="C21" s="15">
        <f>Input!E21</f>
        <v>0.86086956521739133</v>
      </c>
      <c r="D21" s="15">
        <f>Input!F21</f>
        <v>0.87826086956521743</v>
      </c>
    </row>
    <row r="22" spans="1:4" x14ac:dyDescent="0.25">
      <c r="A22" s="5">
        <v>2028</v>
      </c>
      <c r="B22" s="7">
        <v>0.8728813559322034</v>
      </c>
      <c r="C22" s="15">
        <f>Input!E22</f>
        <v>0.8728813559322034</v>
      </c>
      <c r="D22" s="15">
        <f>Input!F22</f>
        <v>0.8728813559322034</v>
      </c>
    </row>
    <row r="24" spans="1:4" x14ac:dyDescent="0.25">
      <c r="A24" s="27" t="s">
        <v>58</v>
      </c>
      <c r="B24" s="28"/>
      <c r="C24" s="28"/>
      <c r="D24" s="28"/>
    </row>
    <row r="25" spans="1:4" ht="30" x14ac:dyDescent="0.25">
      <c r="A25" s="8" t="s">
        <v>73</v>
      </c>
      <c r="B25" s="12">
        <f>IF(LEFT($B$5,1)="A",$B$4,$B$4-1)</f>
        <v>2025</v>
      </c>
    </row>
    <row r="26" spans="1:4" ht="45" x14ac:dyDescent="0.25">
      <c r="A26" s="31" t="s">
        <v>53</v>
      </c>
      <c r="B26" s="32">
        <f>(B17+B18+B19)/3</f>
        <v>0.73333333333333339</v>
      </c>
    </row>
    <row r="27" spans="1:4" x14ac:dyDescent="0.25">
      <c r="A27" s="8" t="s">
        <v>54</v>
      </c>
      <c r="B27" s="32">
        <f>B19</f>
        <v>0.85</v>
      </c>
    </row>
    <row r="28" spans="1:4" ht="45" x14ac:dyDescent="0.25">
      <c r="A28" s="8" t="s">
        <v>35</v>
      </c>
      <c r="B28" s="12" t="str">
        <f>IF($B$27&gt;$B$26,"SI","NO")</f>
        <v>SI</v>
      </c>
    </row>
    <row r="29" spans="1:4" x14ac:dyDescent="0.25">
      <c r="B29" s="25"/>
    </row>
    <row r="30" spans="1:4" ht="45" x14ac:dyDescent="0.25">
      <c r="A30" s="8" t="s">
        <v>36</v>
      </c>
      <c r="B30" s="12" t="str">
        <f>IF($B$6="SI","SI","NO")</f>
        <v>SI</v>
      </c>
    </row>
    <row r="31" spans="1:4" ht="45" x14ac:dyDescent="0.25">
      <c r="A31" s="8" t="s">
        <v>37</v>
      </c>
      <c r="B31" s="12" t="str">
        <f>IF(OR($B$7="Assestamento BP 2026-2028",$B$7="BP 2027-2029",$B$7="BP 2028-2030",$B$7="BP 2029-2031"),"SI","NO")</f>
        <v>SI</v>
      </c>
    </row>
    <row r="32" spans="1:4" ht="30" x14ac:dyDescent="0.25">
      <c r="A32" s="8" t="s">
        <v>38</v>
      </c>
      <c r="B32" s="26" t="str">
        <f>IF(AND($B$28="SI",$B$30="SI",$B$31="SI"),"SI","NO")</f>
        <v>SI</v>
      </c>
    </row>
    <row r="34" spans="1:10" x14ac:dyDescent="0.25">
      <c r="A34" s="27" t="s">
        <v>39</v>
      </c>
      <c r="B34" s="28"/>
      <c r="C34" s="28"/>
      <c r="D34" s="28"/>
      <c r="E34" s="28"/>
      <c r="F34" s="28"/>
      <c r="G34" s="28"/>
      <c r="H34" s="28"/>
    </row>
    <row r="36" spans="1:10" ht="44.25" customHeight="1" x14ac:dyDescent="0.25">
      <c r="A36" s="4" t="s">
        <v>40</v>
      </c>
      <c r="B36" s="4" t="s">
        <v>41</v>
      </c>
      <c r="C36" s="4" t="s">
        <v>42</v>
      </c>
      <c r="D36" s="4" t="s">
        <v>43</v>
      </c>
      <c r="E36" s="4" t="s">
        <v>17</v>
      </c>
      <c r="F36" s="4" t="s">
        <v>44</v>
      </c>
      <c r="G36" s="4" t="s">
        <v>45</v>
      </c>
      <c r="H36" s="4" t="s">
        <v>70</v>
      </c>
      <c r="I36" s="4" t="s">
        <v>69</v>
      </c>
      <c r="J36" s="35" t="s">
        <v>68</v>
      </c>
    </row>
    <row r="37" spans="1:10" x14ac:dyDescent="0.25">
      <c r="A37" s="8" t="s">
        <v>46</v>
      </c>
      <c r="B37" s="5">
        <v>2026</v>
      </c>
      <c r="C37" s="14" t="str">
        <f>IF(OR($E$4="",2026&lt;$E$4,NOT($E$6="SI")), "",IF((2026-$E$4+1)=1, 1-VLOOKUP($E$5,$A$15:$B$22,2,FALSE),IF((2026-$E$4+1)=2, 1-AVERAGE(VLOOKUP($E$5,$A$15:$B$22,2,FALSE),VLOOKUP($E$5+1,$A$15:$B$22,2,FALSE)),IF((2026-$E$4+1)=3, IF($B$8="SI", 1-AVERAGE(VLOOKUP($E$5,$A$15:$B$22,2,FALSE),VLOOKUP($E$5+1,$A$15:$B$22,2,FALSE),VLOOKUP($E$5+2,$A$15:$B$22,2,FALSE)), ""),IF((2026-$E$4+1)=4, IF(AND($B$8="SI",$B$9="SI"), 1-AVERAGE(VLOOKUP($E$5,$A$15:$B$22,2,FALSE),VLOOKUP($E$5+1,$A$15:$B$22,2,FALSE),VLOOKUP($E$5+2,$A$15:$B$22,2,FALSE),VLOOKUP($E$5+3,$A$15:$B$22,2,FALSE)), ""),"")))))</f>
        <v/>
      </c>
      <c r="D37" s="8" t="str">
        <f>IF(C37="","",IF((2026-$E$4+1)=1,"1 - capacità "&amp;$E$5,IF((2026-$E$4+1)=2,"1 - media capacità "&amp;$E$5&amp;"-"&amp;($E$5+1),IF((2026-$E$4+1)=3,"1 - media capacità "&amp;$E$5&amp;"-"&amp;($E$5+2),IF((2026-$E$4+1)=4,"1 - media capacità "&amp;$E$5&amp;"-"&amp;($E$5+3),"" )))))</f>
        <v/>
      </c>
      <c r="E37" s="8" t="str">
        <f>IF(AND(2026&gt;=$E$4,(2026-$E$4+1)&gt;=3,OR($B$8="SI"=FALSE,AND((2026-$E$4+1)=4,$B$9="SI"=FALSE))),"Se verifica miglioramento negativa: torna ordinario (e rideterminazione in assestamento)","")</f>
        <v/>
      </c>
      <c r="F37" s="14"/>
      <c r="G37" s="16">
        <f>Input!H20</f>
        <v>1130000</v>
      </c>
      <c r="H37" s="17" t="str">
        <f t="shared" ref="H37:J43" si="0">IF(OR(C37="",G37=""),"",G37*C37)</f>
        <v/>
      </c>
      <c r="I37" s="17" t="str">
        <f t="shared" si="0"/>
        <v/>
      </c>
      <c r="J37" s="17" t="str">
        <f t="shared" si="0"/>
        <v/>
      </c>
    </row>
    <row r="38" spans="1:10" x14ac:dyDescent="0.25">
      <c r="A38" s="39" t="s">
        <v>7</v>
      </c>
      <c r="B38" s="20">
        <v>2027</v>
      </c>
      <c r="C38" s="40">
        <f>1-B27</f>
        <v>0.15000000000000002</v>
      </c>
      <c r="D38" s="39" t="s">
        <v>61</v>
      </c>
      <c r="E38" s="39" t="str">
        <f>IF(AND(2027&gt;=$E$4,(2027-$E$4+1)&gt;=3,OR($B$8="SI"=FALSE,AND((2027-$E$4+1)=4,$B$9="SI"=FALSE))),"Se verifica miglioramento negativa: torna ordinario (e rideterminazione in assestamento)","")</f>
        <v/>
      </c>
      <c r="F38" s="40">
        <f>E8</f>
        <v>0.29785392051557469</v>
      </c>
      <c r="G38" s="41">
        <f>Input!H21</f>
        <v>1160000</v>
      </c>
      <c r="H38" s="42">
        <f>IF(OR(C38="",G38=""),"",G38*C38)</f>
        <v>174000.00000000003</v>
      </c>
      <c r="I38" s="42">
        <f>G38*F38</f>
        <v>345510.54779806663</v>
      </c>
      <c r="J38" s="44">
        <f>I38-H38</f>
        <v>171510.5477980666</v>
      </c>
    </row>
    <row r="39" spans="1:10" x14ac:dyDescent="0.25">
      <c r="A39" s="8" t="s">
        <v>47</v>
      </c>
      <c r="B39" s="5">
        <v>2028</v>
      </c>
      <c r="C39" s="14">
        <f>1-(B19+B20)/2</f>
        <v>0.15000000000000002</v>
      </c>
      <c r="D39" s="8" t="s">
        <v>60</v>
      </c>
      <c r="E39" s="8" t="str">
        <f>IF(AND(2028&gt;=$E$4,(2028-$E$4+1)&gt;=3,OR($B$8="SI"=FALSE,AND((2028-$E$4+1)=4,$B$9="SI"=FALSE))),"Se verifica miglioramento negativa: torna ordinario (e rideterminazione in assestamento)","")</f>
        <v/>
      </c>
      <c r="F39" s="14">
        <f>F8</f>
        <v>0.25795918367346926</v>
      </c>
      <c r="G39" s="16">
        <f>Input!H22</f>
        <v>1190000</v>
      </c>
      <c r="H39" s="17">
        <f>G39*C39</f>
        <v>178500.00000000003</v>
      </c>
      <c r="I39" s="17">
        <f>G39*F39</f>
        <v>306971.42857142841</v>
      </c>
      <c r="J39" s="45">
        <f>I39-H39</f>
        <v>128471.42857142838</v>
      </c>
    </row>
    <row r="40" spans="1:10" x14ac:dyDescent="0.25">
      <c r="A40" s="8" t="s">
        <v>48</v>
      </c>
      <c r="B40" s="5">
        <v>2029</v>
      </c>
      <c r="C40" s="14">
        <f>1-(B19+B20+B21)/3</f>
        <v>0.1463768115942029</v>
      </c>
      <c r="D40" s="8" t="s">
        <v>63</v>
      </c>
      <c r="E40" s="8"/>
      <c r="F40" s="14">
        <f>G8</f>
        <v>0.21782608695652173</v>
      </c>
      <c r="G40" s="16">
        <v>1210000</v>
      </c>
      <c r="H40" s="17">
        <f>G40*C40</f>
        <v>177115.9420289855</v>
      </c>
      <c r="I40" s="17">
        <f>G40*F40</f>
        <v>263569.5652173913</v>
      </c>
      <c r="J40" s="45">
        <f>I40-H40</f>
        <v>86453.623188405792</v>
      </c>
    </row>
    <row r="41" spans="1:10" x14ac:dyDescent="0.25">
      <c r="A41" s="8" t="s">
        <v>49</v>
      </c>
      <c r="B41" s="5">
        <v>2030</v>
      </c>
      <c r="C41" s="14">
        <f>1-(B19+B20+B21+B22)/4</f>
        <v>0.14156226971260133</v>
      </c>
      <c r="D41" s="8" t="s">
        <v>64</v>
      </c>
      <c r="E41" s="8"/>
      <c r="F41" s="14"/>
      <c r="G41" s="16" t="str">
        <f>IFERROR(VLOOKUP(2030,Input!A15:H22,8,FALSE),"")</f>
        <v/>
      </c>
      <c r="H41" s="17"/>
      <c r="I41" s="17"/>
      <c r="J41" s="17"/>
    </row>
    <row r="42" spans="1:10" x14ac:dyDescent="0.25">
      <c r="A42" s="8" t="s">
        <v>50</v>
      </c>
      <c r="B42" s="5">
        <v>2031</v>
      </c>
      <c r="C42" s="14"/>
      <c r="D42" s="8" t="str">
        <f>IF(C42="","",IF((2031-$E$4+1)=1,"1 - capacità "&amp;$E$5,IF((2031-$E$4+1)=2,"1 - media capacità "&amp;$E$5&amp;"-"&amp;($E$5+1),IF((2031-$E$4+1)=3,"1 - media capacità "&amp;$E$5&amp;"-"&amp;($E$5+2),IF((2031-$E$4+1)=4,"1 - media capacità "&amp;$E$5&amp;"-"&amp;($E$5+3),"" )))))</f>
        <v/>
      </c>
      <c r="E42" s="8" t="str">
        <f>IF(AND(2031&gt;=$E$4,(2031-$E$4+1)&gt;=3,OR($B$8="SI"=FALSE,AND((2031-$E$4+1)=4,$B$9="SI"=FALSE))),"Se verifica miglioramento negativa: torna ordinario (e rideterminazione in assestamento)","")</f>
        <v/>
      </c>
      <c r="F42" s="14"/>
      <c r="G42" s="16" t="str">
        <f>IFERROR(VLOOKUP(2031,Input!A15:H22,8,FALSE),"")</f>
        <v/>
      </c>
      <c r="H42" s="17"/>
      <c r="I42" s="17"/>
      <c r="J42" s="17"/>
    </row>
    <row r="43" spans="1:10" x14ac:dyDescent="0.25">
      <c r="A43" s="8" t="s">
        <v>51</v>
      </c>
      <c r="B43" s="5">
        <v>2032</v>
      </c>
      <c r="C43" s="14"/>
      <c r="D43" s="8" t="str">
        <f>IF(C43="","",IF((2032-$E$4+1)=1,"1 - capacità "&amp;$E$5,IF((2032-$E$4+1)=2,"1 - media capacità "&amp;$E$5&amp;"-"&amp;($E$5+1),IF((2032-$E$4+1)=3,"1 - media capacità "&amp;$E$5&amp;"-"&amp;($E$5+2),IF((2032-$E$4+1)=4,"1 - media capacità "&amp;$E$5&amp;"-"&amp;($E$5+3),"" )))))</f>
        <v/>
      </c>
      <c r="E43" s="8" t="str">
        <f>IF(AND(2032&gt;=$E$4,(2032-$E$4+1)&gt;=3,OR($B$8="SI"=FALSE,AND((2032-$E$4+1)=4,$B$9="SI"=FALSE))),"Se verifica miglioramento negativa: torna ordinario (e rideterminazione in assestamento)","")</f>
        <v/>
      </c>
      <c r="F43" s="14"/>
      <c r="G43" s="16" t="str">
        <f>IFERROR(VLOOKUP(2032,Input!A15:H22,8,FALSE),"")</f>
        <v/>
      </c>
      <c r="H43" s="17"/>
      <c r="I43" s="17"/>
      <c r="J43" s="17"/>
    </row>
  </sheetData>
  <mergeCells count="5">
    <mergeCell ref="A12:D12"/>
    <mergeCell ref="A3:D3"/>
    <mergeCell ref="A24:D24"/>
    <mergeCell ref="A1:H1"/>
    <mergeCell ref="A34:H34"/>
  </mergeCells>
  <pageMargins left="0.75" right="0.75" top="1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DE858F-56B9-42FC-84D3-259C5EFEC031}">
  <dimension ref="A1:J43"/>
  <sheetViews>
    <sheetView tabSelected="1" topLeftCell="A26" workbookViewId="0">
      <selection activeCell="G9" sqref="G9"/>
    </sheetView>
  </sheetViews>
  <sheetFormatPr defaultRowHeight="15" x14ac:dyDescent="0.25"/>
  <cols>
    <col min="1" max="1" width="22" customWidth="1"/>
    <col min="2" max="2" width="15.7109375" customWidth="1"/>
    <col min="3" max="3" width="16" customWidth="1"/>
    <col min="4" max="4" width="26.42578125" customWidth="1"/>
    <col min="5" max="5" width="12" customWidth="1"/>
    <col min="6" max="6" width="16.5703125" customWidth="1"/>
    <col min="7" max="7" width="15.7109375" customWidth="1"/>
    <col min="8" max="8" width="13.140625" customWidth="1"/>
    <col min="9" max="9" width="10.42578125" customWidth="1"/>
    <col min="10" max="10" width="11.42578125" customWidth="1"/>
  </cols>
  <sheetData>
    <row r="1" spans="1:8" x14ac:dyDescent="0.25">
      <c r="A1" s="29" t="s">
        <v>19</v>
      </c>
      <c r="B1" s="28"/>
      <c r="C1" s="28"/>
      <c r="D1" s="28"/>
      <c r="E1" s="28"/>
      <c r="F1" s="28"/>
      <c r="G1" s="28"/>
      <c r="H1" s="28"/>
    </row>
    <row r="3" spans="1:8" x14ac:dyDescent="0.25">
      <c r="A3" s="27" t="s">
        <v>20</v>
      </c>
      <c r="B3" s="28"/>
      <c r="C3" s="28"/>
      <c r="D3" s="28"/>
    </row>
    <row r="4" spans="1:8" ht="30" x14ac:dyDescent="0.25">
      <c r="A4" s="8" t="s">
        <v>55</v>
      </c>
      <c r="B4" s="10">
        <v>2025</v>
      </c>
      <c r="D4" s="11" t="s">
        <v>22</v>
      </c>
      <c r="E4" s="12">
        <f>IF($B$7="Assestamento BP 2026-2028",2026,IF($B$7="BP 2027-2029",2027,IF($B$7="BP 2028-2030",2028,IF($B$7="BP 2029-2031",2029,""))))</f>
        <v>2027</v>
      </c>
    </row>
    <row r="5" spans="1:8" ht="90" x14ac:dyDescent="0.25">
      <c r="A5" s="8" t="s">
        <v>23</v>
      </c>
      <c r="B5" s="30" t="s">
        <v>59</v>
      </c>
      <c r="D5" s="11" t="s">
        <v>24</v>
      </c>
      <c r="E5" s="12">
        <f>B25</f>
        <v>2024</v>
      </c>
    </row>
    <row r="6" spans="1:8" ht="30" x14ac:dyDescent="0.25">
      <c r="A6" s="8" t="s">
        <v>25</v>
      </c>
      <c r="B6" s="10" t="str">
        <f>Input!B7</f>
        <v>SI</v>
      </c>
      <c r="D6" s="11" t="s">
        <v>26</v>
      </c>
      <c r="E6" s="13" t="str">
        <f>B32</f>
        <v>SI</v>
      </c>
    </row>
    <row r="7" spans="1:8" ht="33.75" customHeight="1" x14ac:dyDescent="0.25">
      <c r="A7" s="8" t="s">
        <v>27</v>
      </c>
      <c r="B7" s="10" t="str">
        <f>Input!B8</f>
        <v>BP 2027-2029</v>
      </c>
      <c r="E7" s="50">
        <v>2027</v>
      </c>
      <c r="F7" s="49" t="s">
        <v>77</v>
      </c>
      <c r="G7" s="49" t="s">
        <v>76</v>
      </c>
    </row>
    <row r="8" spans="1:8" ht="74.25" customHeight="1" x14ac:dyDescent="0.25">
      <c r="A8" s="8" t="s">
        <v>28</v>
      </c>
      <c r="B8" s="10" t="str">
        <f>Input!B9</f>
        <v>SI</v>
      </c>
      <c r="D8" s="11" t="s">
        <v>52</v>
      </c>
      <c r="E8" s="33">
        <f>1-(B15+B16+B17+B18+B19)/5</f>
        <v>0.25873521466002658</v>
      </c>
      <c r="F8" s="33">
        <f>1-(B16+B17+B18+B19+B20)/5</f>
        <v>0.22384987631416198</v>
      </c>
      <c r="G8" s="33">
        <f>1-(B17+B18+B19+B20+B21)/5</f>
        <v>0.18880994729907774</v>
      </c>
    </row>
    <row r="9" spans="1:8" ht="45" x14ac:dyDescent="0.25">
      <c r="A9" s="8" t="s">
        <v>29</v>
      </c>
      <c r="B9" s="10" t="str">
        <f>Input!B10</f>
        <v>SI</v>
      </c>
    </row>
    <row r="12" spans="1:8" x14ac:dyDescent="0.25">
      <c r="A12" s="27" t="s">
        <v>30</v>
      </c>
      <c r="B12" s="28"/>
      <c r="C12" s="28"/>
      <c r="D12" s="28"/>
    </row>
    <row r="14" spans="1:8" ht="30" x14ac:dyDescent="0.25">
      <c r="A14" s="4" t="s">
        <v>11</v>
      </c>
      <c r="B14" s="4" t="s">
        <v>31</v>
      </c>
      <c r="C14" s="4" t="s">
        <v>32</v>
      </c>
      <c r="D14" s="4" t="s">
        <v>33</v>
      </c>
    </row>
    <row r="15" spans="1:8" x14ac:dyDescent="0.25">
      <c r="A15" s="5">
        <v>2021</v>
      </c>
      <c r="B15" s="7">
        <v>0.69789473684210523</v>
      </c>
      <c r="C15" s="15">
        <f>Input!E15</f>
        <v>0.65052631578947373</v>
      </c>
      <c r="D15" s="15">
        <f>Input!F15</f>
        <v>0.69789473684210523</v>
      </c>
    </row>
    <row r="16" spans="1:8" x14ac:dyDescent="0.25">
      <c r="A16" s="5">
        <v>2022</v>
      </c>
      <c r="B16" s="7">
        <v>0.70306122448979591</v>
      </c>
      <c r="C16" s="15">
        <f>Input!E16</f>
        <v>0.66020408163265309</v>
      </c>
      <c r="D16" s="15">
        <f>Input!F16</f>
        <v>0.70306122448979591</v>
      </c>
    </row>
    <row r="17" spans="1:4" x14ac:dyDescent="0.25">
      <c r="A17" s="5">
        <v>2023</v>
      </c>
      <c r="B17" s="7">
        <v>0.69</v>
      </c>
      <c r="C17" s="15">
        <f>Input!E17</f>
        <v>0.65</v>
      </c>
      <c r="D17" s="15">
        <f>Input!F17</f>
        <v>0.69</v>
      </c>
    </row>
    <row r="18" spans="1:4" x14ac:dyDescent="0.25">
      <c r="A18" s="5">
        <v>2024</v>
      </c>
      <c r="B18" s="7">
        <v>0.73809523809523814</v>
      </c>
      <c r="C18" s="15">
        <f>Input!E18</f>
        <v>0.7</v>
      </c>
      <c r="D18" s="15">
        <f>Input!F18</f>
        <v>0.73809523809523814</v>
      </c>
    </row>
    <row r="19" spans="1:4" x14ac:dyDescent="0.25">
      <c r="A19" s="5">
        <v>2025</v>
      </c>
      <c r="B19" s="7">
        <v>0.87727272727272732</v>
      </c>
      <c r="C19" s="15">
        <f>Input!E19</f>
        <v>0.85</v>
      </c>
      <c r="D19" s="15">
        <f>Input!F19</f>
        <v>0.87727272727272732</v>
      </c>
    </row>
    <row r="20" spans="1:4" x14ac:dyDescent="0.25">
      <c r="A20" s="5">
        <v>2026</v>
      </c>
      <c r="B20" s="7">
        <v>0.87232142857142858</v>
      </c>
      <c r="C20" s="15">
        <f>Input!E20</f>
        <v>0.85</v>
      </c>
      <c r="D20" s="15">
        <f>Input!F20</f>
        <v>0.87232142857142858</v>
      </c>
    </row>
    <row r="21" spans="1:4" x14ac:dyDescent="0.25">
      <c r="A21" s="5">
        <v>2027</v>
      </c>
      <c r="B21" s="7">
        <v>0.87826086956521743</v>
      </c>
      <c r="C21" s="15">
        <f>Input!E21</f>
        <v>0.86086956521739133</v>
      </c>
      <c r="D21" s="15">
        <f>Input!F21</f>
        <v>0.87826086956521743</v>
      </c>
    </row>
    <row r="22" spans="1:4" x14ac:dyDescent="0.25">
      <c r="A22" s="5">
        <v>2028</v>
      </c>
      <c r="B22" s="7">
        <v>0.8728813559322034</v>
      </c>
      <c r="C22" s="15">
        <f>Input!E22</f>
        <v>0.8728813559322034</v>
      </c>
      <c r="D22" s="15">
        <f>Input!F22</f>
        <v>0.8728813559322034</v>
      </c>
    </row>
    <row r="24" spans="1:4" x14ac:dyDescent="0.25">
      <c r="A24" s="27" t="s">
        <v>57</v>
      </c>
      <c r="B24" s="28"/>
      <c r="C24" s="28"/>
      <c r="D24" s="28"/>
    </row>
    <row r="25" spans="1:4" ht="30" x14ac:dyDescent="0.25">
      <c r="A25" s="8" t="s">
        <v>34</v>
      </c>
      <c r="B25" s="12">
        <f>IF(LEFT($B$5,1)="A",$B$4,$B$4-1)</f>
        <v>2024</v>
      </c>
    </row>
    <row r="26" spans="1:4" ht="45" x14ac:dyDescent="0.25">
      <c r="A26" s="31" t="s">
        <v>56</v>
      </c>
      <c r="B26" s="32">
        <f>(B16+B17+B18)/3</f>
        <v>0.71038548752834474</v>
      </c>
    </row>
    <row r="27" spans="1:4" x14ac:dyDescent="0.25">
      <c r="A27" s="8" t="s">
        <v>54</v>
      </c>
      <c r="B27" s="32">
        <f>B18</f>
        <v>0.73809523809523814</v>
      </c>
    </row>
    <row r="28" spans="1:4" ht="45" x14ac:dyDescent="0.25">
      <c r="A28" s="8" t="s">
        <v>35</v>
      </c>
      <c r="B28" s="12" t="str">
        <f>IF($B$27&gt;$B$26,"SI","NO")</f>
        <v>SI</v>
      </c>
    </row>
    <row r="29" spans="1:4" x14ac:dyDescent="0.25">
      <c r="B29" s="25"/>
    </row>
    <row r="30" spans="1:4" ht="45" x14ac:dyDescent="0.25">
      <c r="A30" s="8" t="s">
        <v>36</v>
      </c>
      <c r="B30" s="12" t="str">
        <f>IF($B$6="SI","SI","NO")</f>
        <v>SI</v>
      </c>
    </row>
    <row r="31" spans="1:4" ht="45" x14ac:dyDescent="0.25">
      <c r="A31" s="8" t="s">
        <v>37</v>
      </c>
      <c r="B31" s="12" t="str">
        <f>IF(OR($B$7="Assestamento BP 2026-2028",$B$7="BP 2027-2029",$B$7="BP 2028-2030",$B$7="BP 2029-2031"),"SI","NO")</f>
        <v>SI</v>
      </c>
    </row>
    <row r="32" spans="1:4" ht="30" x14ac:dyDescent="0.25">
      <c r="A32" s="8" t="s">
        <v>38</v>
      </c>
      <c r="B32" s="26" t="str">
        <f>IF(AND($B$28="SI",$B$30="SI",$B$31="SI"),"SI","NO")</f>
        <v>SI</v>
      </c>
    </row>
    <row r="34" spans="1:10" x14ac:dyDescent="0.25">
      <c r="A34" s="27" t="s">
        <v>39</v>
      </c>
      <c r="B34" s="28"/>
      <c r="C34" s="28"/>
      <c r="D34" s="28"/>
      <c r="E34" s="28"/>
      <c r="F34" s="28"/>
      <c r="G34" s="28"/>
      <c r="H34" s="28"/>
    </row>
    <row r="36" spans="1:10" ht="44.25" customHeight="1" x14ac:dyDescent="0.25">
      <c r="A36" s="4" t="s">
        <v>40</v>
      </c>
      <c r="B36" s="4" t="s">
        <v>41</v>
      </c>
      <c r="C36" s="4" t="s">
        <v>42</v>
      </c>
      <c r="D36" s="4" t="s">
        <v>43</v>
      </c>
      <c r="E36" s="4" t="s">
        <v>17</v>
      </c>
      <c r="F36" s="4" t="s">
        <v>44</v>
      </c>
      <c r="G36" s="4" t="s">
        <v>45</v>
      </c>
      <c r="H36" s="37" t="s">
        <v>72</v>
      </c>
      <c r="I36" s="4" t="s">
        <v>69</v>
      </c>
      <c r="J36" s="35" t="s">
        <v>68</v>
      </c>
    </row>
    <row r="37" spans="1:10" x14ac:dyDescent="0.25">
      <c r="A37" s="8" t="s">
        <v>46</v>
      </c>
      <c r="B37" s="5">
        <v>2026</v>
      </c>
      <c r="C37" s="14" t="str">
        <f>IF(OR($E$4="",2026&lt;$E$4,NOT($E$6="SI")), "",IF((2026-$E$4+1)=1, 1-VLOOKUP($E$5,$A$15:$B$22,2,FALSE),IF((2026-$E$4+1)=2, 1-AVERAGE(VLOOKUP($E$5,$A$15:$B$22,2,FALSE),VLOOKUP($E$5+1,$A$15:$B$22,2,FALSE)),IF((2026-$E$4+1)=3, IF($B$8="SI", 1-AVERAGE(VLOOKUP($E$5,$A$15:$B$22,2,FALSE),VLOOKUP($E$5+1,$A$15:$B$22,2,FALSE),VLOOKUP($E$5+2,$A$15:$B$22,2,FALSE)), ""),IF((2026-$E$4+1)=4, IF(AND($B$8="SI",$B$9="SI"), 1-AVERAGE(VLOOKUP($E$5,$A$15:$B$22,2,FALSE),VLOOKUP($E$5+1,$A$15:$B$22,2,FALSE),VLOOKUP($E$5+2,$A$15:$B$22,2,FALSE),VLOOKUP($E$5+3,$A$15:$B$22,2,FALSE)), ""),"")))))</f>
        <v/>
      </c>
      <c r="D37" s="8" t="str">
        <f>IF(C37="","",IF((2026-$E$4+1)=1,"1 - capacità "&amp;$E$5,IF((2026-$E$4+1)=2,"1 - media capacità "&amp;$E$5&amp;"-"&amp;($E$5+1),IF((2026-$E$4+1)=3,"1 - media capacità "&amp;$E$5&amp;"-"&amp;($E$5+2),IF((2026-$E$4+1)=4,"1 - media capacità "&amp;$E$5&amp;"-"&amp;($E$5+3),"" )))))</f>
        <v/>
      </c>
      <c r="E37" s="8" t="str">
        <f>IF(AND(2026&gt;=$E$4,(2026-$E$4+1)&gt;=3,OR($B$8="SI"=FALSE,AND((2026-$E$4+1)=4,$B$9="SI"=FALSE))),"Se verifica miglioramento negativa: torna ordinario (e rideterminazione in assestamento)","")</f>
        <v/>
      </c>
      <c r="F37" s="14"/>
      <c r="G37" s="16">
        <f>Input!H20</f>
        <v>1130000</v>
      </c>
      <c r="H37" s="17" t="str">
        <f t="shared" ref="H37:J43" si="0">IF(OR(C37="",G37=""),"",G37*C37)</f>
        <v/>
      </c>
      <c r="I37" s="17" t="str">
        <f t="shared" si="0"/>
        <v/>
      </c>
      <c r="J37" s="17" t="str">
        <f t="shared" si="0"/>
        <v/>
      </c>
    </row>
    <row r="38" spans="1:10" x14ac:dyDescent="0.25">
      <c r="A38" s="8" t="s">
        <v>7</v>
      </c>
      <c r="B38" s="5">
        <v>2027</v>
      </c>
      <c r="C38" s="14">
        <f>1-B27</f>
        <v>0.26190476190476186</v>
      </c>
      <c r="D38" s="8" t="s">
        <v>71</v>
      </c>
      <c r="E38" s="8" t="str">
        <f>IF(AND(2027&gt;=$E$4,(2027-$E$4+1)&gt;=3,OR($B$8="SI"=FALSE,AND((2027-$E$4+1)=4,$B$9="SI"=FALSE))),"Se verifica miglioramento negativa: torna ordinario (e rideterminazione in assestamento)","")</f>
        <v/>
      </c>
      <c r="F38" s="14">
        <f>E8</f>
        <v>0.25873521466002658</v>
      </c>
      <c r="G38" s="16">
        <f>Input!H21</f>
        <v>1160000</v>
      </c>
      <c r="H38" s="17">
        <f>G38*C38</f>
        <v>303809.52380952379</v>
      </c>
      <c r="I38" s="17">
        <f>G38*F38</f>
        <v>300132.84900563082</v>
      </c>
      <c r="J38" s="46">
        <f>I38-H38</f>
        <v>-3676.6748038929654</v>
      </c>
    </row>
    <row r="39" spans="1:10" x14ac:dyDescent="0.25">
      <c r="A39" s="8" t="s">
        <v>47</v>
      </c>
      <c r="B39" s="5">
        <v>2028</v>
      </c>
      <c r="C39" s="14">
        <f>1-(B18+B19)/2</f>
        <v>0.19231601731601722</v>
      </c>
      <c r="D39" s="8" t="s">
        <v>62</v>
      </c>
      <c r="E39" s="8" t="str">
        <f>IF(AND(2028&gt;=$E$4,(2028-$E$4+1)&gt;=3,OR($B$8="SI"=FALSE,AND((2028-$E$4+1)=4,$B$9="SI"=FALSE))),"Se verifica miglioramento negativa: torna ordinario (e rideterminazione in assestamento)","")</f>
        <v/>
      </c>
      <c r="F39" s="14">
        <f>F8</f>
        <v>0.22384987631416198</v>
      </c>
      <c r="G39" s="16">
        <f>Input!H22</f>
        <v>1190000</v>
      </c>
      <c r="H39" s="17">
        <f>G39*C39</f>
        <v>228856.06060606049</v>
      </c>
      <c r="I39" s="17">
        <f>G39*F39</f>
        <v>266381.35281385278</v>
      </c>
      <c r="J39" s="45">
        <f>I39-H39</f>
        <v>37525.292207792285</v>
      </c>
    </row>
    <row r="40" spans="1:10" x14ac:dyDescent="0.25">
      <c r="A40" s="8" t="s">
        <v>48</v>
      </c>
      <c r="B40" s="5">
        <v>2029</v>
      </c>
      <c r="C40" s="14">
        <f>1-(B18+B19+B20)/3</f>
        <v>0.17077020202020199</v>
      </c>
      <c r="D40" s="8" t="s">
        <v>65</v>
      </c>
      <c r="E40" s="8"/>
      <c r="F40" s="14">
        <f>G8</f>
        <v>0.18880994729907774</v>
      </c>
      <c r="G40" s="16">
        <v>1210000</v>
      </c>
      <c r="H40" s="17">
        <f>G40*C40</f>
        <v>206631.94444444441</v>
      </c>
      <c r="I40" s="17">
        <f>G40*F40</f>
        <v>228460.03623188406</v>
      </c>
      <c r="J40" s="45">
        <f>I40-H40</f>
        <v>21828.091787439655</v>
      </c>
    </row>
    <row r="41" spans="1:10" x14ac:dyDescent="0.25">
      <c r="A41" s="8" t="s">
        <v>49</v>
      </c>
      <c r="B41" s="5">
        <v>2030</v>
      </c>
      <c r="C41" s="14">
        <f>1-(B18+B19+B20+B21)/4</f>
        <v>0.15851243412384708</v>
      </c>
      <c r="D41" s="8" t="s">
        <v>66</v>
      </c>
      <c r="E41" s="8"/>
      <c r="F41" s="14"/>
      <c r="G41" s="16"/>
      <c r="H41" s="17"/>
      <c r="I41" s="17" t="str">
        <f t="shared" si="0"/>
        <v/>
      </c>
      <c r="J41" s="17" t="str">
        <f t="shared" si="0"/>
        <v/>
      </c>
    </row>
    <row r="42" spans="1:10" x14ac:dyDescent="0.25">
      <c r="A42" s="8" t="s">
        <v>50</v>
      </c>
      <c r="B42" s="5">
        <v>2031</v>
      </c>
      <c r="C42" s="14"/>
      <c r="D42" s="8"/>
      <c r="E42" s="8" t="str">
        <f>IF(AND(2031&gt;=$E$4,(2031-$E$4+1)&gt;=3,OR($B$8="SI"=FALSE,AND((2031-$E$4+1)=4,$B$9="SI"=FALSE))),"Se verifica miglioramento negativa: torna ordinario (e rideterminazione in assestamento)","")</f>
        <v/>
      </c>
      <c r="F42" s="14"/>
      <c r="G42" s="16"/>
      <c r="H42" s="17"/>
      <c r="I42" s="17" t="str">
        <f t="shared" si="0"/>
        <v/>
      </c>
      <c r="J42" s="17" t="str">
        <f t="shared" si="0"/>
        <v/>
      </c>
    </row>
    <row r="43" spans="1:10" x14ac:dyDescent="0.25">
      <c r="A43" s="8" t="s">
        <v>51</v>
      </c>
      <c r="B43" s="5">
        <v>2032</v>
      </c>
      <c r="C43" s="14"/>
      <c r="D43" s="8"/>
      <c r="E43" s="8" t="str">
        <f>IF(AND(2032&gt;=$E$4,(2032-$E$4+1)&gt;=3,OR($B$8="SI"=FALSE,AND((2032-$E$4+1)=4,$B$9="SI"=FALSE))),"Se verifica miglioramento negativa: torna ordinario (e rideterminazione in assestamento)","")</f>
        <v/>
      </c>
      <c r="F43" s="14"/>
      <c r="G43" s="16" t="str">
        <f>IFERROR(VLOOKUP(2032,Input!A15:H22,8,FALSE),"")</f>
        <v/>
      </c>
      <c r="H43" s="17"/>
      <c r="I43" s="17" t="str">
        <f t="shared" si="0"/>
        <v/>
      </c>
      <c r="J43" s="17" t="str">
        <f t="shared" si="0"/>
        <v/>
      </c>
    </row>
  </sheetData>
  <mergeCells count="5">
    <mergeCell ref="A1:H1"/>
    <mergeCell ref="A3:D3"/>
    <mergeCell ref="A12:D12"/>
    <mergeCell ref="A24:D24"/>
    <mergeCell ref="A34:H3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Input</vt:lpstr>
      <vt:lpstr>Metodo A</vt:lpstr>
      <vt:lpstr>Metodo 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Portuese Paola</cp:lastModifiedBy>
  <dcterms:created xsi:type="dcterms:W3CDTF">2026-01-12T12:29:42Z</dcterms:created>
  <dcterms:modified xsi:type="dcterms:W3CDTF">2026-01-13T13:02:46Z</dcterms:modified>
</cp:coreProperties>
</file>